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X:\Daten\FÜL\1 TourenabrechnungsTools\"/>
    </mc:Choice>
  </mc:AlternateContent>
  <xr:revisionPtr revIDLastSave="0" documentId="13_ncr:1_{C9CEAB5A-ABAB-4CFC-A9EC-8944CB41875B}" xr6:coauthVersionLast="47" xr6:coauthVersionMax="47" xr10:uidLastSave="{00000000-0000-0000-0000-000000000000}"/>
  <bookViews>
    <workbookView xWindow="-120" yWindow="-120" windowWidth="29040" windowHeight="15720" tabRatio="459" xr2:uid="{00000000-000D-0000-FFFF-FFFF00000000}"/>
  </bookViews>
  <sheets>
    <sheet name="Tourenabrechnung" sheetId="1" r:id="rId1"/>
  </sheets>
  <definedNames>
    <definedName name="_xlnm.Print_Area" localSheetId="0">Tourenabrechnung!$A$1:$M$59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J40" i="1"/>
  <c r="K40" i="1" s="1"/>
  <c r="L16" i="1"/>
  <c r="U17" i="1"/>
  <c r="J32" i="1"/>
  <c r="I28" i="1"/>
  <c r="I23" i="1"/>
  <c r="U16" i="1" s="1"/>
  <c r="L17" i="1"/>
  <c r="L18" i="1"/>
  <c r="L19" i="1"/>
  <c r="L20" i="1"/>
  <c r="L21" i="1"/>
  <c r="L41" i="1" l="1"/>
  <c r="J31" i="1"/>
  <c r="J36" i="1"/>
  <c r="J35" i="1"/>
  <c r="J34" i="1"/>
  <c r="N34" i="1" l="1"/>
  <c r="P36" i="1" l="1"/>
  <c r="O36" i="1"/>
  <c r="O34" i="1"/>
  <c r="P34" i="1"/>
  <c r="Q34" i="1"/>
  <c r="K48" i="1"/>
  <c r="P45" i="1" l="1"/>
  <c r="P48" i="1"/>
  <c r="P47" i="1"/>
  <c r="P46" i="1"/>
  <c r="O48" i="1"/>
  <c r="O39" i="1"/>
  <c r="O47" i="1"/>
  <c r="O45" i="1"/>
  <c r="O46" i="1"/>
  <c r="P39" i="1"/>
  <c r="P40" i="1"/>
  <c r="P41" i="1"/>
  <c r="O41" i="1"/>
  <c r="O40" i="1"/>
  <c r="O38" i="1"/>
  <c r="P38" i="1"/>
  <c r="C31" i="1"/>
  <c r="C34" i="1"/>
  <c r="K34" i="1" s="1"/>
  <c r="C32" i="1"/>
  <c r="K32" i="1" s="1"/>
  <c r="O42" i="1" l="1"/>
  <c r="P42" i="1"/>
  <c r="C36" i="1" s="1"/>
  <c r="D34" i="1"/>
  <c r="K31" i="1"/>
  <c r="L32" i="1" s="1"/>
  <c r="K49" i="1"/>
  <c r="L50" i="1" s="1"/>
  <c r="O51" i="1"/>
  <c r="P51" i="1"/>
  <c r="K36" i="1" l="1"/>
  <c r="D36" i="1" s="1"/>
  <c r="C35" i="1"/>
  <c r="K35" i="1" s="1"/>
  <c r="D35" i="1" l="1"/>
  <c r="L36" i="1"/>
  <c r="L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Josef</author>
    <author>Schnurr</author>
  </authors>
  <commentList>
    <comment ref="H4" authorId="0" shapeId="0" xr:uid="{00000000-0006-0000-0000-000001000000}">
      <text>
        <r>
          <rPr>
            <b/>
            <sz val="8"/>
            <color indexed="8"/>
            <rFont val="Times New Roman"/>
            <family val="1"/>
          </rPr>
          <t>Tour oder Kurs auswählen</t>
        </r>
      </text>
    </comment>
    <comment ref="H7" authorId="1" shapeId="0" xr:uid="{00000000-0006-0000-0000-000002000000}">
      <text>
        <r>
          <rPr>
            <b/>
            <sz val="8"/>
            <color indexed="81"/>
            <rFont val="Times New Roman"/>
            <family val="1"/>
          </rPr>
          <t>Staat auswählen; 
bei Tagestouren immer Deutschland verwenden;</t>
        </r>
      </text>
    </comment>
    <comment ref="H9" authorId="2" shapeId="0" xr:uid="{D46D2223-71A4-48F5-849F-6FFE96EB3663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tt.mm.jjjj</t>
        </r>
      </text>
    </comment>
    <comment ref="H10" authorId="2" shapeId="0" xr:uid="{96961298-31A7-467D-93FB-C268D0FD6501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tt.mm.jjjj</t>
        </r>
      </text>
    </comment>
    <comment ref="H12" authorId="2" shapeId="0" xr:uid="{55514D97-DA0D-4DB0-AA4F-9A7996C2486F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Anzahl Teilnehmer ohne Leiter</t>
        </r>
      </text>
    </comment>
    <comment ref="G15" authorId="2" shapeId="0" xr:uid="{4A97F38C-DE54-4AE4-B91E-3DD6A496D9EF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Anzahl pro Person</t>
        </r>
      </text>
    </comment>
    <comment ref="C17" authorId="2" shapeId="0" xr:uid="{8A2CF98D-BC29-43F2-BA46-17E98D6A1286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Plug-In Hybrid bei Kurzstrecke &lt; 50 km</t>
        </r>
      </text>
    </comment>
    <comment ref="G25" authorId="2" shapeId="0" xr:uid="{DE22697A-44A9-437E-86D7-B86B662CE16B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auf der Hütte, im Restaurant gekaufte Mahlzeiten</t>
        </r>
      </text>
    </comment>
    <comment ref="C40" authorId="2" shapeId="0" xr:uid="{24FD8D85-0855-4B40-A70D-724255698E99}">
      <text>
        <r>
          <rPr>
            <b/>
            <sz val="9"/>
            <color indexed="81"/>
            <rFont val="Segoe UI"/>
            <family val="2"/>
          </rPr>
          <t>Schnurr:</t>
        </r>
        <r>
          <rPr>
            <sz val="9"/>
            <color indexed="81"/>
            <rFont val="Segoe UI"/>
            <family val="2"/>
          </rPr>
          <t xml:space="preserve">
Bitte immer die KM angeben!</t>
        </r>
      </text>
    </comment>
    <comment ref="I48" authorId="0" shapeId="0" xr:uid="{00000000-0006-0000-0000-000003000000}">
      <text>
        <r>
          <rPr>
            <b/>
            <sz val="8"/>
            <color indexed="8"/>
            <rFont val="Times New Roman"/>
            <family val="1"/>
          </rPr>
          <t>Anzahl der Tage für Seilgeld</t>
        </r>
      </text>
    </comment>
    <comment ref="G51" authorId="0" shapeId="0" xr:uid="{00000000-0006-0000-0000-000004000000}">
      <text>
        <r>
          <rPr>
            <b/>
            <sz val="8"/>
            <color indexed="8"/>
            <rFont val="Times New Roman"/>
            <family val="1"/>
          </rPr>
          <t>Anmerkungen</t>
        </r>
      </text>
    </comment>
  </commentList>
</comments>
</file>

<file path=xl/sharedStrings.xml><?xml version="1.0" encoding="utf-8"?>
<sst xmlns="http://schemas.openxmlformats.org/spreadsheetml/2006/main" count="125" uniqueCount="106">
  <si>
    <t>Tourenabrechnung</t>
  </si>
  <si>
    <t>Österreich</t>
  </si>
  <si>
    <t>Schweiz</t>
  </si>
  <si>
    <t>Tagestouren haben immer den Deutschen Satz Deutschland</t>
  </si>
  <si>
    <t>Frankreich</t>
  </si>
  <si>
    <t>Italien</t>
  </si>
  <si>
    <t>Norwegen</t>
  </si>
  <si>
    <t>Slowenien</t>
  </si>
  <si>
    <t>FAQ:</t>
  </si>
  <si>
    <t>Art d. Veranst.:</t>
  </si>
  <si>
    <t>Hallenkletterkurs</t>
  </si>
  <si>
    <t>Nur Datum der ersten Veranstaltung eingeben sowie Kilometer</t>
  </si>
  <si>
    <t>Ziel / Titel:</t>
  </si>
  <si>
    <t>Abgrenzung:</t>
  </si>
  <si>
    <t>Leiter:</t>
  </si>
  <si>
    <t>Wandern</t>
  </si>
  <si>
    <t>gem. Programmheft, bis w2 = Wandern</t>
  </si>
  <si>
    <t>Veranstaltungsland:</t>
  </si>
  <si>
    <t>Bergsteigen</t>
  </si>
  <si>
    <t>ab w3 = Bergsteigen und/oder leichte Kletterei bis II-III</t>
  </si>
  <si>
    <t>Hochtour (Sommer)</t>
  </si>
  <si>
    <t>ab Gletscherbegehung</t>
  </si>
  <si>
    <t>Abreise am:</t>
  </si>
  <si>
    <t>Uhrzeit:</t>
  </si>
  <si>
    <t>Skitour</t>
  </si>
  <si>
    <t>gem. Programmheft S1-S3 ohne Hochtourenausrüstung</t>
  </si>
  <si>
    <t>Rückkehr am:</t>
  </si>
  <si>
    <t>Skihochtour</t>
  </si>
  <si>
    <t>gem. Programmheft S1-S3 Hochtourenausrüstung notwendig (Gletscherbegehung)</t>
  </si>
  <si>
    <t xml:space="preserve">Anzahl der Teilnehmer: </t>
  </si>
  <si>
    <t>Mobilität An- und Abreise</t>
  </si>
  <si>
    <t>Übernachtungen</t>
  </si>
  <si>
    <t>Anz.</t>
  </si>
  <si>
    <t>Anz. Nächte</t>
  </si>
  <si>
    <t xml:space="preserve">PKW </t>
  </si>
  <si>
    <t>Biwak</t>
  </si>
  <si>
    <t>Elektro Pkw</t>
  </si>
  <si>
    <t>DAV-Hütte</t>
  </si>
  <si>
    <t>Kleinbus/9-Sitzer</t>
  </si>
  <si>
    <t>Hütte nicht DAV</t>
  </si>
  <si>
    <t>Bergbus</t>
  </si>
  <si>
    <t>Hotel/Hostel (0-2 Sterne, FeWo)</t>
  </si>
  <si>
    <t>Fahrrad</t>
  </si>
  <si>
    <t>Hotel Mittelklasse (3-4 Sterne, gehobene FeWo)</t>
  </si>
  <si>
    <t>ÖPNV</t>
  </si>
  <si>
    <t>Hotel Premium (5 Sterne)</t>
  </si>
  <si>
    <t>Fernverkehr/Zug</t>
  </si>
  <si>
    <t>Reisebus</t>
  </si>
  <si>
    <t xml:space="preserve">Öffentliche Anreise: </t>
  </si>
  <si>
    <t>Verpflegung</t>
  </si>
  <si>
    <t xml:space="preserve">Anzahl servierter Mahlzeiten p. P. </t>
  </si>
  <si>
    <t>opt. Angabe</t>
  </si>
  <si>
    <t>Anteilig</t>
  </si>
  <si>
    <t>% vegan</t>
  </si>
  <si>
    <t>% vegetarisch</t>
  </si>
  <si>
    <t>% mit Fleisch</t>
  </si>
  <si>
    <t>Auslagenersatz</t>
  </si>
  <si>
    <t xml:space="preserve">Uhrzeit </t>
  </si>
  <si>
    <t>mit Doppelpunkt, z. B. 8:00</t>
  </si>
  <si>
    <t>Tagessatz</t>
  </si>
  <si>
    <t>a €:</t>
  </si>
  <si>
    <t>Übernachtungspauschale</t>
  </si>
  <si>
    <t>mehr als 24 Stunden</t>
  </si>
  <si>
    <t>Verpflegungsaufwand</t>
  </si>
  <si>
    <t>Bei Tagestouren wird immer der Satz für Deutschland verwedet</t>
  </si>
  <si>
    <t>mehr als 8 Stunden</t>
  </si>
  <si>
    <t>14:00 bis 23:59</t>
  </si>
  <si>
    <t>8 bis 13:59</t>
  </si>
  <si>
    <t>am gleichen Tag</t>
  </si>
  <si>
    <t xml:space="preserve">oder An/Abreise bei </t>
  </si>
  <si>
    <t>mehrtägiger Abwesenheit</t>
  </si>
  <si>
    <t>am nächsten Tag</t>
  </si>
  <si>
    <t>Anfang</t>
  </si>
  <si>
    <t>Ende</t>
  </si>
  <si>
    <t>km</t>
  </si>
  <si>
    <t>mehr als 2 Tage</t>
  </si>
  <si>
    <t>Summe</t>
  </si>
  <si>
    <t>Barauslagen</t>
  </si>
  <si>
    <t>Bei Barauslagen bitte Belege beifügen</t>
  </si>
  <si>
    <t>Organisationskosten</t>
  </si>
  <si>
    <t>Liftkarten</t>
  </si>
  <si>
    <t>Rucksacktransport</t>
  </si>
  <si>
    <t>Beförderung zur Hütte</t>
  </si>
  <si>
    <t xml:space="preserve">Seilgeld für </t>
  </si>
  <si>
    <r>
      <rPr>
        <sz val="11"/>
        <rFont val="Tahoma"/>
        <family val="2"/>
      </rPr>
      <t>Tage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>a € 5,00</t>
    </r>
  </si>
  <si>
    <t xml:space="preserve">Materialeinsatz Ausbildung </t>
  </si>
  <si>
    <t>€/Tag</t>
  </si>
  <si>
    <t>Bankverbindung</t>
  </si>
  <si>
    <t>Achtung Änderung:</t>
  </si>
  <si>
    <t>IBAN</t>
  </si>
  <si>
    <t>(22stellig)</t>
  </si>
  <si>
    <t>Die Kontodaten bitte immer angeben,</t>
  </si>
  <si>
    <t>BIC</t>
  </si>
  <si>
    <t>da die Abrechnungen über die Geschäftsstelle laufen</t>
  </si>
  <si>
    <t>Kreditinstitut</t>
  </si>
  <si>
    <t>Kilometer für Anreisen/Fahrzeuge aller Art</t>
  </si>
  <si>
    <t>Anz. aller Fahrzeuge</t>
  </si>
  <si>
    <t>Tag/e</t>
  </si>
  <si>
    <t>Hiermit bestätige ich die Richtigkeit der oben gemachten Angaben.</t>
  </si>
  <si>
    <t>Bitte immer die KM angeben!</t>
  </si>
  <si>
    <t>D</t>
  </si>
  <si>
    <t>Teilnehmerlisten immer vor der Veranstaltung an teilnehmerlisten@dav-rosenheim.de schicken!</t>
  </si>
  <si>
    <t>Auslastungszuschlag</t>
  </si>
  <si>
    <t>Version: 230914</t>
  </si>
  <si>
    <t xml:space="preserve">Barauslagen </t>
  </si>
  <si>
    <t>(z. B. öffentl. Anreise)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</si>
</sst>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&quot; €&quot;_-;\-* #,##0.00&quot; €&quot;_-;_-* \-??&quot; €&quot;_-;_-@_-"/>
    <numFmt numFmtId="166" formatCode="0&quot; Tag (e)&quot;"/>
  </numFmts>
  <fonts count="22">
    <font>
      <sz val="11"/>
      <name val="Sparkasse Rg"/>
    </font>
    <font>
      <sz val="10"/>
      <name val="MS Sans Serif"/>
      <family val="2"/>
    </font>
    <font>
      <sz val="11"/>
      <name val="Tahoma"/>
      <family val="2"/>
    </font>
    <font>
      <sz val="18"/>
      <name val="Tahoma"/>
      <family val="2"/>
    </font>
    <font>
      <b/>
      <sz val="11"/>
      <name val="Tahoma"/>
      <family val="2"/>
    </font>
    <font>
      <b/>
      <sz val="8"/>
      <color indexed="8"/>
      <name val="Times New Roman"/>
      <family val="1"/>
    </font>
    <font>
      <b/>
      <sz val="8"/>
      <name val="Tahoma"/>
      <family val="2"/>
    </font>
    <font>
      <sz val="8"/>
      <name val="Tahoma"/>
      <family val="2"/>
    </font>
    <font>
      <b/>
      <sz val="8"/>
      <name val="MS Sans Serif"/>
      <family val="2"/>
    </font>
    <font>
      <sz val="8"/>
      <name val="Sparkasse Rg"/>
    </font>
    <font>
      <sz val="9"/>
      <name val="Tahoma"/>
      <family val="2"/>
    </font>
    <font>
      <sz val="11"/>
      <name val="Sparkasse Rg"/>
    </font>
    <font>
      <sz val="10"/>
      <name val="Tahoma"/>
      <family val="2"/>
    </font>
    <font>
      <b/>
      <sz val="8"/>
      <color indexed="81"/>
      <name val="Times New Roman"/>
      <family val="1"/>
    </font>
    <font>
      <b/>
      <sz val="12"/>
      <name val="Tahoma"/>
      <family val="2"/>
    </font>
    <font>
      <sz val="11"/>
      <color theme="0"/>
      <name val="Sparkasse Rg"/>
    </font>
    <font>
      <strike/>
      <sz val="11"/>
      <name val="Tahoma"/>
      <family val="2"/>
    </font>
    <font>
      <sz val="11"/>
      <color rgb="FFFF0000"/>
      <name val="Tahom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Tahoma"/>
      <family val="2"/>
    </font>
    <font>
      <b/>
      <sz val="8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165" fontId="11" fillId="0" borderId="0" applyFill="0" applyBorder="0" applyAlignment="0" applyProtection="0"/>
    <xf numFmtId="0" fontId="1" fillId="0" borderId="0"/>
    <xf numFmtId="44" fontId="11" fillId="0" borderId="0" applyFont="0" applyFill="0" applyBorder="0" applyAlignment="0" applyProtection="0"/>
  </cellStyleXfs>
  <cellXfs count="60">
    <xf numFmtId="0" fontId="0" fillId="0" borderId="0" xfId="0"/>
    <xf numFmtId="165" fontId="2" fillId="0" borderId="0" xfId="1" applyFont="1" applyFill="1" applyBorder="1" applyAlignment="1" applyProtection="1"/>
    <xf numFmtId="165" fontId="4" fillId="0" borderId="0" xfId="1" applyFont="1" applyFill="1" applyBorder="1" applyAlignment="1" applyProtection="1"/>
    <xf numFmtId="14" fontId="2" fillId="8" borderId="0" xfId="0" applyNumberFormat="1" applyFont="1" applyFill="1" applyProtection="1">
      <protection locked="0"/>
    </xf>
    <xf numFmtId="165" fontId="4" fillId="0" borderId="2" xfId="1" applyFont="1" applyFill="1" applyBorder="1" applyAlignment="1" applyProtection="1"/>
    <xf numFmtId="1" fontId="2" fillId="8" borderId="0" xfId="0" applyNumberFormat="1" applyFont="1" applyFill="1" applyAlignment="1" applyProtection="1">
      <alignment horizontal="center"/>
      <protection locked="0"/>
    </xf>
    <xf numFmtId="20" fontId="2" fillId="8" borderId="0" xfId="0" applyNumberFormat="1" applyFont="1" applyFill="1" applyProtection="1">
      <protection locked="0"/>
    </xf>
    <xf numFmtId="0" fontId="2" fillId="8" borderId="0" xfId="0" applyFont="1" applyFill="1" applyProtection="1">
      <protection locked="0"/>
    </xf>
    <xf numFmtId="0" fontId="0" fillId="8" borderId="0" xfId="0" applyFill="1" applyProtection="1">
      <protection locked="0"/>
    </xf>
    <xf numFmtId="0" fontId="2" fillId="8" borderId="0" xfId="0" applyFont="1" applyFill="1" applyAlignment="1" applyProtection="1">
      <alignment horizontal="left"/>
      <protection locked="0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4" fillId="6" borderId="0" xfId="0" applyFont="1" applyFill="1"/>
    <xf numFmtId="0" fontId="2" fillId="6" borderId="0" xfId="0" applyFont="1" applyFill="1"/>
    <xf numFmtId="14" fontId="2" fillId="6" borderId="0" xfId="0" applyNumberFormat="1" applyFont="1" applyFill="1"/>
    <xf numFmtId="20" fontId="2" fillId="6" borderId="0" xfId="0" applyNumberFormat="1" applyFont="1" applyFill="1"/>
    <xf numFmtId="14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/>
    <xf numFmtId="14" fontId="4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1" xfId="0" applyFont="1" applyBorder="1"/>
    <xf numFmtId="0" fontId="2" fillId="2" borderId="0" xfId="0" applyFont="1" applyFill="1"/>
    <xf numFmtId="0" fontId="2" fillId="0" borderId="0" xfId="0" applyFont="1" applyAlignment="1">
      <alignment horizontal="right"/>
    </xf>
    <xf numFmtId="0" fontId="17" fillId="0" borderId="0" xfId="0" applyFont="1"/>
    <xf numFmtId="0" fontId="4" fillId="2" borderId="0" xfId="0" applyFont="1" applyFill="1"/>
    <xf numFmtId="0" fontId="10" fillId="0" borderId="0" xfId="0" applyFont="1" applyAlignment="1">
      <alignment vertical="top" wrapText="1"/>
    </xf>
    <xf numFmtId="2" fontId="2" fillId="0" borderId="0" xfId="0" applyNumberFormat="1" applyFont="1"/>
    <xf numFmtId="164" fontId="2" fillId="0" borderId="0" xfId="0" applyNumberFormat="1" applyFont="1"/>
    <xf numFmtId="166" fontId="15" fillId="0" borderId="0" xfId="0" applyNumberFormat="1" applyFont="1"/>
    <xf numFmtId="166" fontId="0" fillId="0" borderId="0" xfId="0" applyNumberFormat="1"/>
    <xf numFmtId="0" fontId="2" fillId="7" borderId="0" xfId="0" applyFont="1" applyFill="1"/>
    <xf numFmtId="0" fontId="2" fillId="6" borderId="0" xfId="0" applyFont="1" applyFill="1" applyAlignment="1">
      <alignment horizontal="right"/>
    </xf>
    <xf numFmtId="0" fontId="7" fillId="2" borderId="0" xfId="0" applyFont="1" applyFill="1"/>
    <xf numFmtId="1" fontId="7" fillId="3" borderId="0" xfId="0" applyNumberFormat="1" applyFont="1" applyFill="1"/>
    <xf numFmtId="0" fontId="14" fillId="5" borderId="0" xfId="0" applyFont="1" applyFill="1"/>
    <xf numFmtId="0" fontId="2" fillId="5" borderId="0" xfId="0" applyFont="1" applyFill="1"/>
    <xf numFmtId="0" fontId="4" fillId="5" borderId="0" xfId="0" applyFont="1" applyFill="1"/>
    <xf numFmtId="0" fontId="6" fillId="2" borderId="0" xfId="0" applyFont="1" applyFill="1" applyAlignment="1">
      <alignment horizontal="left"/>
    </xf>
    <xf numFmtId="1" fontId="8" fillId="2" borderId="0" xfId="2" applyNumberFormat="1" applyFont="1" applyFill="1" applyAlignment="1">
      <alignment horizontal="left"/>
    </xf>
    <xf numFmtId="0" fontId="9" fillId="2" borderId="0" xfId="0" applyFont="1" applyFill="1"/>
    <xf numFmtId="0" fontId="3" fillId="2" borderId="0" xfId="0" applyFont="1" applyFill="1"/>
    <xf numFmtId="0" fontId="12" fillId="0" borderId="0" xfId="0" applyFont="1" applyAlignment="1">
      <alignment wrapText="1"/>
    </xf>
    <xf numFmtId="0" fontId="3" fillId="0" borderId="0" xfId="0" applyFont="1"/>
    <xf numFmtId="0" fontId="2" fillId="8" borderId="0" xfId="0" applyFont="1" applyFill="1" applyAlignment="1" applyProtection="1">
      <alignment horizontal="center"/>
      <protection locked="0"/>
    </xf>
    <xf numFmtId="165" fontId="2" fillId="0" borderId="0" xfId="1" applyFont="1" applyFill="1" applyBorder="1" applyAlignment="1" applyProtection="1">
      <protection locked="0"/>
    </xf>
    <xf numFmtId="0" fontId="16" fillId="0" borderId="0" xfId="0" applyFont="1"/>
    <xf numFmtId="0" fontId="2" fillId="4" borderId="0" xfId="0" applyFont="1" applyFill="1" applyAlignment="1">
      <alignment horizontal="left"/>
    </xf>
    <xf numFmtId="0" fontId="2" fillId="8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5" fontId="2" fillId="8" borderId="0" xfId="1" applyFont="1" applyFill="1" applyBorder="1" applyAlignment="1" applyProtection="1">
      <protection locked="0"/>
    </xf>
    <xf numFmtId="0" fontId="7" fillId="6" borderId="0" xfId="0" applyFont="1" applyFill="1"/>
    <xf numFmtId="44" fontId="2" fillId="0" borderId="0" xfId="3" applyFont="1"/>
    <xf numFmtId="2" fontId="2" fillId="8" borderId="0" xfId="0" applyNumberFormat="1" applyFont="1" applyFill="1" applyAlignment="1" applyProtection="1">
      <alignment horizontal="center" vertical="center"/>
      <protection locked="0"/>
    </xf>
    <xf numFmtId="0" fontId="20" fillId="0" borderId="0" xfId="0" applyFont="1"/>
    <xf numFmtId="0" fontId="21" fillId="0" borderId="0" xfId="0" applyFont="1"/>
    <xf numFmtId="0" fontId="2" fillId="8" borderId="0" xfId="0" applyFont="1" applyFill="1" applyAlignment="1" applyProtection="1">
      <alignment horizontal="left"/>
      <protection locked="0"/>
    </xf>
    <xf numFmtId="0" fontId="10" fillId="8" borderId="0" xfId="0" applyFont="1" applyFill="1" applyAlignment="1" applyProtection="1">
      <alignment vertical="top" wrapText="1"/>
      <protection locked="0"/>
    </xf>
  </cellXfs>
  <cellStyles count="4">
    <cellStyle name="Euro" xfId="1" xr:uid="{00000000-0005-0000-0000-000000000000}"/>
    <cellStyle name="Standard" xfId="0" builtinId="0"/>
    <cellStyle name="Standard_Muster" xfId="2" xr:uid="{00000000-0005-0000-0000-000002000000}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542925</xdr:colOff>
      <xdr:row>1</xdr:row>
      <xdr:rowOff>28575</xdr:rowOff>
    </xdr:from>
    <xdr:to>
      <xdr:col>11</xdr:col>
      <xdr:colOff>809625</xdr:colOff>
      <xdr:row>1</xdr:row>
      <xdr:rowOff>723900</xdr:rowOff>
    </xdr:to>
    <xdr:pic>
      <xdr:nvPicPr>
        <xdr:cNvPr id="1079" name="Grafik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209550"/>
          <a:ext cx="10668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73"/>
  <sheetViews>
    <sheetView tabSelected="1" topLeftCell="A30" workbookViewId="0">
      <selection activeCell="K44" sqref="K44"/>
    </sheetView>
  </sheetViews>
  <sheetFormatPr baseColWidth="10" defaultColWidth="11.5" defaultRowHeight="14.25" outlineLevelRow="1" outlineLevelCol="1"/>
  <cols>
    <col min="1" max="1" width="2.125" style="10" customWidth="1"/>
    <col min="2" max="2" width="6.5" style="10" customWidth="1"/>
    <col min="3" max="3" width="7.875" style="10" customWidth="1" outlineLevel="1"/>
    <col min="4" max="4" width="7.625" style="10" bestFit="1" customWidth="1" outlineLevel="1"/>
    <col min="5" max="5" width="11" style="10" customWidth="1" outlineLevel="1"/>
    <col min="6" max="6" width="2.375" style="10" customWidth="1" outlineLevel="1"/>
    <col min="7" max="7" width="6.125" style="10" customWidth="1" outlineLevel="1"/>
    <col min="8" max="8" width="18.5" style="10" customWidth="1" outlineLevel="1"/>
    <col min="9" max="9" width="6.5" style="10" customWidth="1" outlineLevel="1"/>
    <col min="10" max="10" width="8.375" style="10" customWidth="1" outlineLevel="1"/>
    <col min="11" max="11" width="10.5" style="10" customWidth="1"/>
    <col min="12" max="12" width="13.125" style="10" bestFit="1" customWidth="1"/>
    <col min="13" max="13" width="3.125" style="10" customWidth="1"/>
    <col min="14" max="20" width="2.875" style="10" hidden="1" customWidth="1"/>
    <col min="21" max="21" width="40.875" style="10" customWidth="1"/>
    <col min="22" max="25" width="11.5" style="10" customWidth="1"/>
    <col min="26" max="16384" width="11.5" style="10"/>
  </cols>
  <sheetData>
    <row r="1" spans="1:29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9" s="45" customFormat="1" ht="59.65" customHeight="1">
      <c r="A2" s="43"/>
      <c r="B2" s="23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43"/>
      <c r="N2" s="44" t="s">
        <v>1</v>
      </c>
      <c r="O2" s="44" t="s">
        <v>2</v>
      </c>
      <c r="P2" s="44" t="s">
        <v>3</v>
      </c>
      <c r="Q2" s="44" t="s">
        <v>4</v>
      </c>
      <c r="R2" s="44" t="s">
        <v>5</v>
      </c>
      <c r="S2" s="44" t="s">
        <v>6</v>
      </c>
      <c r="T2" s="44" t="s">
        <v>7</v>
      </c>
      <c r="U2" s="45" t="s">
        <v>8</v>
      </c>
    </row>
    <row r="3" spans="1:29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0">
        <v>40</v>
      </c>
      <c r="O3" s="10">
        <v>64</v>
      </c>
      <c r="P3" s="10">
        <v>28</v>
      </c>
      <c r="Q3" s="10">
        <v>53</v>
      </c>
      <c r="R3" s="10">
        <v>40</v>
      </c>
      <c r="S3" s="10">
        <v>80</v>
      </c>
      <c r="T3" s="10">
        <v>38</v>
      </c>
    </row>
    <row r="4" spans="1:29">
      <c r="A4" s="24"/>
      <c r="C4" s="11" t="s">
        <v>9</v>
      </c>
      <c r="H4" s="7" t="s">
        <v>15</v>
      </c>
      <c r="M4" s="24"/>
      <c r="U4" s="10" t="s">
        <v>10</v>
      </c>
      <c r="V4" s="10" t="s">
        <v>11</v>
      </c>
    </row>
    <row r="5" spans="1:29">
      <c r="A5" s="24"/>
      <c r="C5" s="11" t="s">
        <v>12</v>
      </c>
      <c r="G5"/>
      <c r="H5" s="8"/>
      <c r="I5"/>
      <c r="J5"/>
      <c r="K5"/>
      <c r="L5"/>
      <c r="M5" s="24"/>
      <c r="N5" s="10">
        <v>27</v>
      </c>
      <c r="O5" s="10">
        <v>43</v>
      </c>
      <c r="P5" s="10">
        <v>14</v>
      </c>
      <c r="Q5" s="10">
        <v>36</v>
      </c>
      <c r="R5" s="10">
        <v>27</v>
      </c>
      <c r="S5" s="10">
        <v>53</v>
      </c>
      <c r="T5" s="10">
        <v>25</v>
      </c>
      <c r="U5" s="10" t="s">
        <v>13</v>
      </c>
    </row>
    <row r="6" spans="1:29">
      <c r="A6" s="24"/>
      <c r="B6"/>
      <c r="C6" s="11" t="s">
        <v>14</v>
      </c>
      <c r="G6" s="12"/>
      <c r="H6" s="9"/>
      <c r="I6" s="12"/>
      <c r="J6" s="12"/>
      <c r="K6" s="12"/>
      <c r="L6" s="12"/>
      <c r="M6" s="24"/>
      <c r="N6" s="10">
        <v>27</v>
      </c>
      <c r="O6" s="10">
        <v>43</v>
      </c>
      <c r="P6" s="10">
        <v>14</v>
      </c>
      <c r="Q6" s="10">
        <v>36</v>
      </c>
      <c r="R6" s="10">
        <v>27</v>
      </c>
      <c r="S6" s="10">
        <v>53</v>
      </c>
      <c r="T6" s="10">
        <v>25</v>
      </c>
      <c r="U6" s="10" t="s">
        <v>15</v>
      </c>
      <c r="V6" s="10" t="s">
        <v>16</v>
      </c>
    </row>
    <row r="7" spans="1:29">
      <c r="A7" s="24"/>
      <c r="C7" s="11" t="s">
        <v>17</v>
      </c>
      <c r="H7" s="9" t="s">
        <v>100</v>
      </c>
      <c r="I7" s="12"/>
      <c r="J7" s="12"/>
      <c r="K7" s="12"/>
      <c r="L7" s="12"/>
      <c r="M7" s="24"/>
      <c r="U7" s="10" t="s">
        <v>18</v>
      </c>
      <c r="V7" s="10" t="s">
        <v>19</v>
      </c>
      <c r="Z7" s="11"/>
      <c r="AC7" s="49"/>
    </row>
    <row r="8" spans="1:29">
      <c r="A8" s="24"/>
      <c r="M8" s="24"/>
      <c r="U8" s="10" t="s">
        <v>20</v>
      </c>
      <c r="V8" s="10" t="s">
        <v>21</v>
      </c>
    </row>
    <row r="9" spans="1:29">
      <c r="A9" s="24"/>
      <c r="C9" s="11" t="s">
        <v>22</v>
      </c>
      <c r="H9" s="3">
        <v>44927</v>
      </c>
      <c r="J9" s="11" t="s">
        <v>23</v>
      </c>
      <c r="K9" s="6">
        <v>0.33333333333333331</v>
      </c>
      <c r="L9" s="18"/>
      <c r="M9" s="24"/>
      <c r="U9" s="10" t="s">
        <v>24</v>
      </c>
      <c r="V9" s="10" t="s">
        <v>25</v>
      </c>
    </row>
    <row r="10" spans="1:29">
      <c r="A10" s="24"/>
      <c r="C10" s="11" t="s">
        <v>26</v>
      </c>
      <c r="H10" s="3">
        <v>44927</v>
      </c>
      <c r="J10" s="11" t="s">
        <v>23</v>
      </c>
      <c r="K10" s="6">
        <v>0.33333333333333331</v>
      </c>
      <c r="L10" s="18"/>
      <c r="M10" s="24"/>
      <c r="U10" s="10" t="s">
        <v>27</v>
      </c>
      <c r="V10" s="10" t="s">
        <v>28</v>
      </c>
    </row>
    <row r="11" spans="1:29">
      <c r="A11" s="24"/>
      <c r="C11" s="11"/>
      <c r="H11" s="17"/>
      <c r="J11" s="11"/>
      <c r="K11" s="18"/>
      <c r="L11" s="18"/>
      <c r="M11" s="24"/>
    </row>
    <row r="12" spans="1:29">
      <c r="A12" s="24"/>
      <c r="C12" s="11" t="s">
        <v>29</v>
      </c>
      <c r="H12" s="5">
        <v>0</v>
      </c>
      <c r="J12" s="11"/>
      <c r="K12" s="18"/>
      <c r="L12" s="18"/>
      <c r="M12" s="24"/>
    </row>
    <row r="13" spans="1:29">
      <c r="A13" s="24"/>
      <c r="C13" s="11"/>
      <c r="H13" s="22"/>
      <c r="J13" s="11"/>
      <c r="K13" s="18"/>
      <c r="L13" s="18"/>
      <c r="M13" s="24"/>
    </row>
    <row r="14" spans="1:29">
      <c r="A14" s="14"/>
      <c r="B14" s="13" t="s">
        <v>30</v>
      </c>
      <c r="C14" s="14"/>
      <c r="D14" s="14"/>
      <c r="E14" s="14"/>
      <c r="F14" s="14"/>
      <c r="G14" s="13" t="s">
        <v>31</v>
      </c>
      <c r="H14" s="14"/>
      <c r="I14" s="14"/>
      <c r="J14" s="14"/>
      <c r="K14" s="14"/>
      <c r="L14" s="14"/>
      <c r="M14" s="14"/>
    </row>
    <row r="15" spans="1:29">
      <c r="A15" s="14"/>
      <c r="B15" s="11" t="s">
        <v>96</v>
      </c>
      <c r="F15" s="14"/>
      <c r="G15" s="11" t="s">
        <v>32</v>
      </c>
      <c r="L15" s="11" t="s">
        <v>33</v>
      </c>
      <c r="M15" s="14"/>
    </row>
    <row r="16" spans="1:29">
      <c r="A16" s="14"/>
      <c r="B16" s="5">
        <v>1</v>
      </c>
      <c r="C16" s="10" t="s">
        <v>34</v>
      </c>
      <c r="F16" s="14"/>
      <c r="G16" s="46"/>
      <c r="H16" s="10" t="s">
        <v>35</v>
      </c>
      <c r="L16" s="21">
        <f t="shared" ref="L16:L21" si="0">G16*(H$12+1)</f>
        <v>0</v>
      </c>
      <c r="M16" s="14"/>
      <c r="U16" s="10">
        <f>IF(I23="ja",15,0)</f>
        <v>0</v>
      </c>
    </row>
    <row r="17" spans="1:29">
      <c r="A17" s="14"/>
      <c r="B17" s="5"/>
      <c r="C17" s="10" t="s">
        <v>36</v>
      </c>
      <c r="F17" s="14"/>
      <c r="G17" s="46">
        <v>0</v>
      </c>
      <c r="H17" s="10" t="s">
        <v>37</v>
      </c>
      <c r="L17" s="21">
        <f t="shared" si="0"/>
        <v>0</v>
      </c>
      <c r="M17" s="14"/>
      <c r="U17" s="10">
        <f>IF(B16+B17=0,0,IF((1+H12)/(B16+B17)&gt;3,5,0))</f>
        <v>0</v>
      </c>
    </row>
    <row r="18" spans="1:29">
      <c r="A18" s="14"/>
      <c r="B18" s="5"/>
      <c r="C18" s="10" t="s">
        <v>38</v>
      </c>
      <c r="F18" s="14"/>
      <c r="G18" s="46"/>
      <c r="H18" s="10" t="s">
        <v>39</v>
      </c>
      <c r="L18" s="21">
        <f t="shared" si="0"/>
        <v>0</v>
      </c>
      <c r="M18" s="14"/>
    </row>
    <row r="19" spans="1:29">
      <c r="A19" s="14"/>
      <c r="B19" s="5"/>
      <c r="C19" s="10" t="s">
        <v>40</v>
      </c>
      <c r="F19" s="14"/>
      <c r="G19" s="46"/>
      <c r="H19" s="10" t="s">
        <v>41</v>
      </c>
      <c r="L19" s="21">
        <f t="shared" si="0"/>
        <v>0</v>
      </c>
      <c r="M19" s="14"/>
    </row>
    <row r="20" spans="1:29">
      <c r="A20" s="14"/>
      <c r="B20" s="5"/>
      <c r="C20" s="10" t="s">
        <v>42</v>
      </c>
      <c r="F20" s="14"/>
      <c r="G20" s="46"/>
      <c r="H20" s="10" t="s">
        <v>43</v>
      </c>
      <c r="L20" s="21">
        <f t="shared" si="0"/>
        <v>0</v>
      </c>
      <c r="M20" s="14"/>
    </row>
    <row r="21" spans="1:29">
      <c r="A21" s="14"/>
      <c r="B21" s="5"/>
      <c r="C21" s="10" t="s">
        <v>44</v>
      </c>
      <c r="F21" s="14"/>
      <c r="G21" s="46"/>
      <c r="H21" s="10" t="s">
        <v>45</v>
      </c>
      <c r="L21" s="21">
        <f t="shared" si="0"/>
        <v>0</v>
      </c>
      <c r="M21" s="24"/>
    </row>
    <row r="22" spans="1:29">
      <c r="A22" s="14"/>
      <c r="B22" s="5"/>
      <c r="C22" s="10" t="s">
        <v>46</v>
      </c>
      <c r="F22" s="14"/>
      <c r="G22" s="17"/>
      <c r="H22" s="17"/>
      <c r="J22" s="11"/>
      <c r="L22" s="18"/>
      <c r="M22" s="24"/>
    </row>
    <row r="23" spans="1:29">
      <c r="A23" s="14"/>
      <c r="B23" s="5"/>
      <c r="C23" s="10" t="s">
        <v>47</v>
      </c>
      <c r="F23" s="14"/>
      <c r="G23" s="20" t="s">
        <v>48</v>
      </c>
      <c r="H23" s="17"/>
      <c r="I23" s="10" t="str">
        <f>IF(B16+B17=0,"ja","nein")</f>
        <v>nein</v>
      </c>
      <c r="J23" s="11"/>
      <c r="K23" s="18"/>
      <c r="L23" s="18"/>
      <c r="M23" s="24"/>
      <c r="AC23" s="10">
        <v>500</v>
      </c>
    </row>
    <row r="24" spans="1:29">
      <c r="A24" s="33"/>
      <c r="B24" s="13" t="s">
        <v>49</v>
      </c>
      <c r="C24" s="13"/>
      <c r="D24" s="14"/>
      <c r="E24" s="14"/>
      <c r="F24" s="14"/>
      <c r="G24" s="15"/>
      <c r="H24" s="15"/>
      <c r="I24" s="14"/>
      <c r="J24" s="13"/>
      <c r="K24" s="16"/>
      <c r="L24" s="16"/>
      <c r="M24" s="24"/>
    </row>
    <row r="25" spans="1:29">
      <c r="A25" s="33"/>
      <c r="B25" s="10" t="s">
        <v>50</v>
      </c>
      <c r="C25" s="11"/>
      <c r="G25" s="7">
        <v>0</v>
      </c>
      <c r="H25" s="17"/>
      <c r="J25" s="11"/>
      <c r="K25" s="18"/>
      <c r="L25" s="18"/>
      <c r="M25" s="24"/>
    </row>
    <row r="26" spans="1:29">
      <c r="A26" s="33"/>
      <c r="C26" s="11"/>
      <c r="G26" s="17"/>
      <c r="H26" s="17"/>
      <c r="J26" s="11"/>
      <c r="K26" s="18"/>
      <c r="L26" s="18"/>
      <c r="M26" s="24"/>
    </row>
    <row r="27" spans="1:29">
      <c r="A27" s="33"/>
      <c r="B27" s="10" t="s">
        <v>51</v>
      </c>
      <c r="C27" s="11"/>
      <c r="G27" s="17"/>
      <c r="H27" s="17"/>
      <c r="J27" s="11"/>
      <c r="K27" s="18"/>
      <c r="L27" s="18"/>
      <c r="M27" s="24"/>
    </row>
    <row r="28" spans="1:29">
      <c r="A28" s="33"/>
      <c r="B28" s="10" t="s">
        <v>52</v>
      </c>
      <c r="C28" s="11"/>
      <c r="D28" s="55">
        <v>0</v>
      </c>
      <c r="E28" s="10" t="s">
        <v>53</v>
      </c>
      <c r="G28" s="50">
        <v>0</v>
      </c>
      <c r="H28" s="17" t="s">
        <v>54</v>
      </c>
      <c r="I28" s="51">
        <f>100-G28-D28</f>
        <v>100</v>
      </c>
      <c r="J28" s="10" t="s">
        <v>55</v>
      </c>
      <c r="K28" s="19"/>
      <c r="L28" s="18"/>
      <c r="M28" s="24"/>
    </row>
    <row r="29" spans="1:29">
      <c r="A29" s="33"/>
      <c r="B29" s="13" t="s">
        <v>56</v>
      </c>
      <c r="C29" s="13"/>
      <c r="D29" s="14"/>
      <c r="E29" s="14"/>
      <c r="F29" s="14"/>
      <c r="G29" s="15"/>
      <c r="H29" s="15"/>
      <c r="I29" s="14"/>
      <c r="J29" s="13"/>
      <c r="K29" s="16"/>
      <c r="L29" s="16"/>
      <c r="M29" s="24"/>
    </row>
    <row r="30" spans="1:29">
      <c r="A30" s="24"/>
      <c r="M30" s="24"/>
      <c r="U30" s="10" t="s">
        <v>57</v>
      </c>
      <c r="V30" s="10" t="s">
        <v>58</v>
      </c>
    </row>
    <row r="31" spans="1:29">
      <c r="A31" s="24"/>
      <c r="C31" s="25">
        <f>IF(H9&lt;&gt;"",N34+1,0)</f>
        <v>1</v>
      </c>
      <c r="D31" s="25"/>
      <c r="E31" s="11" t="s">
        <v>59</v>
      </c>
      <c r="F31" s="11"/>
      <c r="I31" s="25" t="s">
        <v>60</v>
      </c>
      <c r="J31" s="29">
        <f>IF(I23="ja",15,0)+IF(OR(H4="Hochtour",H4="Skihochtour"),55,IF(OR(H4="Abendkurs",H4="Wandern",H4="Schneeschuh"),34,IF(H4="2ter Begleiter",17,IF(OR(H4="Skitour",H4="Bergsteigen",H4="Klettersteig",H4="Mountainbike",H4="Klettern"),45,IF(OR(H4="Hallenkletterkurs"),80,IF(OR(H4="Ausbildung"),65,0))))))</f>
        <v>34</v>
      </c>
      <c r="K31" s="1">
        <f>C31*J31</f>
        <v>34</v>
      </c>
      <c r="L31" s="1"/>
      <c r="M31" s="24"/>
    </row>
    <row r="32" spans="1:29">
      <c r="A32" s="24"/>
      <c r="C32" s="25">
        <f>N34</f>
        <v>0</v>
      </c>
      <c r="D32" s="25"/>
      <c r="E32" s="11" t="s">
        <v>61</v>
      </c>
      <c r="F32" s="11"/>
      <c r="I32" s="25" t="s">
        <v>60</v>
      </c>
      <c r="J32" s="29">
        <f>IF(OR(H7="D"),20,IF(OR(H7="CH",H7="F",H7="N"),44,IF(OR(H7="#auswählen#"),0,33)))</f>
        <v>20</v>
      </c>
      <c r="K32" s="1">
        <f>C32*J32</f>
        <v>0</v>
      </c>
      <c r="L32" s="2">
        <f>SUM(K31:K32)</f>
        <v>34</v>
      </c>
      <c r="M32" s="24"/>
      <c r="N32" s="24"/>
      <c r="O32" s="24"/>
      <c r="P32" s="24"/>
      <c r="Q32" s="24"/>
      <c r="R32" s="24"/>
      <c r="S32" s="24"/>
    </row>
    <row r="33" spans="1:22">
      <c r="A33" s="24"/>
      <c r="C33" s="25"/>
      <c r="D33" s="25"/>
      <c r="E33" s="25"/>
      <c r="F33" s="25"/>
      <c r="I33" s="25"/>
      <c r="J33" s="29"/>
      <c r="K33" s="1"/>
      <c r="L33" s="2"/>
      <c r="M33" s="24"/>
      <c r="N33" s="24"/>
      <c r="O33" s="24"/>
      <c r="P33" s="24"/>
      <c r="Q33" s="24"/>
      <c r="R33" s="24"/>
      <c r="S33" s="24"/>
      <c r="U33"/>
    </row>
    <row r="34" spans="1:22" outlineLevel="1">
      <c r="A34" s="24"/>
      <c r="B34" s="30" t="s">
        <v>97</v>
      </c>
      <c r="C34" s="31">
        <f>IF(K9="",0,IF(N34&lt;2,0,N34-1))</f>
        <v>0</v>
      </c>
      <c r="D34" s="30">
        <f t="shared" ref="D34:D35" si="1">K34/J34</f>
        <v>0</v>
      </c>
      <c r="E34" s="11" t="s">
        <v>62</v>
      </c>
      <c r="F34" s="11"/>
      <c r="I34" s="25" t="s">
        <v>60</v>
      </c>
      <c r="J34" s="29">
        <f>IF(H$10-H$9=0,P3,IF(H$7="a",N3,IF(H$7="ch",O3,IF(H$7="d",P3,IF(H$7="F",Q3,IF(H$7="I",R3,IF(H$7="slo",T3,IF(H$7="n",S3,IF(H$7="Sonstiges",P3,0)))))))))</f>
        <v>28</v>
      </c>
      <c r="K34" s="1">
        <f>C34*J34</f>
        <v>0</v>
      </c>
      <c r="L34" s="2"/>
      <c r="M34" s="24"/>
      <c r="N34" s="40">
        <f>IF(OR(H4="Hallenkletterkurs"),0,H10-H9)</f>
        <v>0</v>
      </c>
      <c r="O34" s="41">
        <f>1440-HOUR(K9)*60-MINUTE(K9)</f>
        <v>960</v>
      </c>
      <c r="P34" s="41">
        <f>1440-HOUR(K10)*60-MINUTE(K10)</f>
        <v>960</v>
      </c>
      <c r="Q34" s="41">
        <f>HOUR(K10)*60+MINUTE(K10)</f>
        <v>480</v>
      </c>
      <c r="R34" s="35"/>
      <c r="S34" s="35"/>
      <c r="U34" s="10" t="s">
        <v>63</v>
      </c>
      <c r="V34" s="10" t="s">
        <v>64</v>
      </c>
    </row>
    <row r="35" spans="1:22" outlineLevel="1">
      <c r="A35" s="24"/>
      <c r="B35" s="30" t="s">
        <v>97</v>
      </c>
      <c r="C35" s="31">
        <f>IF(K9="",0,IF(O42=1,1,O51))</f>
        <v>0</v>
      </c>
      <c r="D35" s="30">
        <f t="shared" si="1"/>
        <v>0</v>
      </c>
      <c r="E35" s="11" t="s">
        <v>65</v>
      </c>
      <c r="F35" s="11"/>
      <c r="I35" s="25" t="s">
        <v>60</v>
      </c>
      <c r="J35" s="29">
        <f>IF(H$10-H$9=0,P5,IF(H$7="a",N5,IF(H$7="ch",O5,IF(H$7="d",P5,IF(H$7="F",Q5,IF(H$7="I",R5,IF(H$7="SLO",T5,IF(H$7="n",S5,IF(H$7="Sonstiges",P5,0)))))))))</f>
        <v>14</v>
      </c>
      <c r="K35" s="1">
        <f>IF(O51=1,(C35*J35),IF(O51=2,(C35*J35),0))</f>
        <v>0</v>
      </c>
      <c r="L35" s="2"/>
      <c r="M35" s="24"/>
      <c r="N35" s="35"/>
      <c r="O35" s="42" t="s">
        <v>66</v>
      </c>
      <c r="P35" s="42" t="s">
        <v>67</v>
      </c>
      <c r="Q35" s="35"/>
      <c r="R35" s="35"/>
      <c r="S35" s="35"/>
    </row>
    <row r="36" spans="1:22" outlineLevel="1">
      <c r="A36" s="24"/>
      <c r="B36" s="30" t="s">
        <v>97</v>
      </c>
      <c r="C36" s="31">
        <f>IF(H4="Hallenkletterkurs",0,IF(K9="",0,P42))</f>
        <v>0</v>
      </c>
      <c r="D36" s="30">
        <f>K36/J36</f>
        <v>0</v>
      </c>
      <c r="E36" s="11" t="s">
        <v>65</v>
      </c>
      <c r="F36" s="11"/>
      <c r="I36" s="25" t="s">
        <v>60</v>
      </c>
      <c r="J36" s="29">
        <f>IF(H$10-H$9=0,P6,IF(H$7="a",N6,IF(H$7="ch",O6,IF(H$7="d",P6,IF(H$7="F",Q6,IF(H$7="I",R6,IF(H$7="SLO",T6,IF(H$7="n",S6,IF(H$7="Sonstiges",P6,0)))))))))</f>
        <v>14</v>
      </c>
      <c r="K36" s="1">
        <f>IF(O51=1,(1*J36),IF(O51=2,0,(C36*J36)))</f>
        <v>0</v>
      </c>
      <c r="L36" s="2">
        <f>SUM(K34:K36)</f>
        <v>0</v>
      </c>
      <c r="M36" s="24"/>
      <c r="N36" s="35"/>
      <c r="O36" s="36">
        <f>IF(AND($N$34=0,(K10-K9)*60*24&gt;=481),1,0)</f>
        <v>0</v>
      </c>
      <c r="P36" s="36">
        <f>IF(AND($N$34=0,(K10-K9)*60*24&gt;=481,(K10-K9)*60*24&lt;1440),1,0)</f>
        <v>0</v>
      </c>
      <c r="Q36" s="35" t="s">
        <v>68</v>
      </c>
      <c r="R36" s="35"/>
      <c r="S36" s="35"/>
    </row>
    <row r="37" spans="1:22" outlineLevel="1">
      <c r="A37" s="24"/>
      <c r="C37" s="32"/>
      <c r="D37" s="32"/>
      <c r="E37" s="11" t="s">
        <v>69</v>
      </c>
      <c r="F37" s="11"/>
      <c r="G37" s="11"/>
      <c r="H37" s="11"/>
      <c r="I37" s="25"/>
      <c r="J37" s="29"/>
      <c r="K37" s="1"/>
      <c r="L37" s="2"/>
      <c r="M37" s="24"/>
      <c r="N37" s="35"/>
      <c r="O37" s="36"/>
      <c r="P37" s="36"/>
      <c r="Q37" s="35"/>
      <c r="R37" s="35"/>
      <c r="S37" s="35"/>
    </row>
    <row r="38" spans="1:22" outlineLevel="1">
      <c r="A38" s="24"/>
      <c r="E38" s="11" t="s">
        <v>70</v>
      </c>
      <c r="F38" s="11"/>
      <c r="L38" s="11"/>
      <c r="M38" s="24"/>
      <c r="N38" s="35"/>
      <c r="O38" s="36">
        <f>IF(AND($N$34=1,$O$34&gt;=0),1,0)</f>
        <v>0</v>
      </c>
      <c r="P38" s="36">
        <f>IF(AND($N$34=1,$O$34&gt;=0,$O$34&lt;1440),1,0)</f>
        <v>0</v>
      </c>
      <c r="Q38" s="35" t="s">
        <v>71</v>
      </c>
      <c r="R38" s="35" t="s">
        <v>72</v>
      </c>
      <c r="S38" s="35"/>
    </row>
    <row r="39" spans="1:22" outlineLevel="1">
      <c r="A39" s="24"/>
      <c r="B39" s="27" t="s">
        <v>95</v>
      </c>
      <c r="C39" s="27"/>
      <c r="D39" s="27"/>
      <c r="E39" s="27"/>
      <c r="F39" s="27"/>
      <c r="G39" s="24"/>
      <c r="H39" s="24"/>
      <c r="I39" s="24"/>
      <c r="J39" s="24"/>
      <c r="K39" s="24"/>
      <c r="L39" s="27"/>
      <c r="M39" s="24"/>
      <c r="N39" s="35"/>
      <c r="O39" s="36">
        <f>IF(AND($N$34=1,$Q$34&gt;=0),1,0)</f>
        <v>0</v>
      </c>
      <c r="P39" s="36">
        <f>IF(AND($N$34=1,$Q$34&gt;=0,$Q$34&lt;1440),1,0)</f>
        <v>0</v>
      </c>
      <c r="Q39" s="35"/>
      <c r="R39" s="35" t="s">
        <v>73</v>
      </c>
      <c r="S39" s="35"/>
    </row>
    <row r="40" spans="1:22" outlineLevel="1">
      <c r="A40" s="24"/>
      <c r="C40" s="50">
        <v>0</v>
      </c>
      <c r="E40" s="11" t="s">
        <v>74</v>
      </c>
      <c r="F40" s="11"/>
      <c r="I40" s="25" t="s">
        <v>60</v>
      </c>
      <c r="J40" s="29">
        <f>IF(B18&gt;0,0.15,IF(B16+B17=0,0,0.15*(B16+B17)/(B16+B17)))</f>
        <v>0.15</v>
      </c>
      <c r="K40" s="1">
        <f>C40*J40</f>
        <v>0</v>
      </c>
      <c r="L40" s="2"/>
      <c r="M40" s="24"/>
      <c r="N40" s="35"/>
      <c r="O40" s="36">
        <f>IF(AND($N$34&gt;1,$O$34&gt;=0),1,0)</f>
        <v>0</v>
      </c>
      <c r="P40" s="36">
        <f>IF(AND($N$34&gt;1,$O$34&gt;=0,$O$34&lt;1440),1,0)</f>
        <v>0</v>
      </c>
      <c r="Q40" s="35" t="s">
        <v>75</v>
      </c>
      <c r="R40" s="35" t="s">
        <v>72</v>
      </c>
      <c r="S40" s="35"/>
      <c r="U40" s="39" t="s">
        <v>99</v>
      </c>
    </row>
    <row r="41" spans="1:22" outlineLevel="1">
      <c r="A41" s="24"/>
      <c r="B41" s="26"/>
      <c r="E41"/>
      <c r="F41"/>
      <c r="H41" s="10" t="s">
        <v>102</v>
      </c>
      <c r="K41" s="54">
        <f>+IF(B16+B17=0,0,IF((1+H12)/(B16+B17)&gt;3,5,0))*(H10-H9+1)</f>
        <v>0</v>
      </c>
      <c r="L41" s="2">
        <f>IF(B19=1,19,C40*J40)+K41</f>
        <v>0</v>
      </c>
      <c r="M41" s="24"/>
      <c r="N41" s="35"/>
      <c r="O41" s="36">
        <f>IF(AND($N$34&gt;1,$Q$34&gt;=0),1,0)</f>
        <v>0</v>
      </c>
      <c r="P41" s="36">
        <f>IF(AND($N$34&gt;1,$Q$34&gt;=0,$Q$34&lt;1440),1,0)</f>
        <v>0</v>
      </c>
      <c r="Q41" s="35"/>
      <c r="R41" s="35" t="s">
        <v>73</v>
      </c>
      <c r="S41" s="35"/>
    </row>
    <row r="42" spans="1:22">
      <c r="A42" s="24"/>
      <c r="L42" s="11"/>
      <c r="M42" s="24"/>
      <c r="N42" s="35"/>
      <c r="O42" s="36">
        <f>IF(H4="Hallenkletterkurs",0,SUM(O36:O41))</f>
        <v>0</v>
      </c>
      <c r="P42" s="36">
        <f>SUM(P36:P41)</f>
        <v>0</v>
      </c>
      <c r="Q42" s="35" t="s">
        <v>76</v>
      </c>
      <c r="R42" s="35"/>
      <c r="S42" s="35"/>
    </row>
    <row r="43" spans="1:22" ht="15">
      <c r="A43" s="24"/>
      <c r="B43" s="27" t="s">
        <v>77</v>
      </c>
      <c r="C43" s="27"/>
      <c r="D43" s="27"/>
      <c r="E43" s="27"/>
      <c r="F43" s="27"/>
      <c r="G43" s="24"/>
      <c r="H43" s="24"/>
      <c r="I43" s="24"/>
      <c r="J43" s="24"/>
      <c r="K43" s="24"/>
      <c r="L43" s="27"/>
      <c r="M43" s="24"/>
      <c r="N43" s="24"/>
      <c r="O43" s="24"/>
      <c r="P43" s="24"/>
      <c r="Q43" s="24"/>
      <c r="R43" s="24"/>
      <c r="S43" s="24"/>
      <c r="U43" s="37" t="s">
        <v>78</v>
      </c>
      <c r="V43" s="38"/>
    </row>
    <row r="44" spans="1:22">
      <c r="A44" s="24"/>
      <c r="E44" s="11" t="s">
        <v>79</v>
      </c>
      <c r="F44" s="11"/>
      <c r="K44" s="52">
        <v>0</v>
      </c>
      <c r="L44" s="2"/>
      <c r="M44" s="24"/>
    </row>
    <row r="45" spans="1:22">
      <c r="A45" s="24"/>
      <c r="E45" s="11" t="s">
        <v>80</v>
      </c>
      <c r="F45" s="11"/>
      <c r="K45" s="52">
        <v>0</v>
      </c>
      <c r="L45" s="2"/>
      <c r="M45" s="24"/>
      <c r="O45" s="36">
        <f>IF(AND($N$34=1,$O$34&gt;=480),1,0)</f>
        <v>0</v>
      </c>
      <c r="P45" s="36">
        <f>IF(AND($N$34=1,$O$34&gt;=480,$O$34&lt;840),1,0)</f>
        <v>0</v>
      </c>
      <c r="Q45" s="35" t="s">
        <v>71</v>
      </c>
      <c r="R45" s="35" t="s">
        <v>72</v>
      </c>
      <c r="S45" s="35"/>
    </row>
    <row r="46" spans="1:22">
      <c r="A46" s="24"/>
      <c r="E46" s="11" t="s">
        <v>81</v>
      </c>
      <c r="F46" s="11"/>
      <c r="K46" s="52">
        <v>0</v>
      </c>
      <c r="L46" s="2"/>
      <c r="M46" s="24"/>
      <c r="O46" s="36">
        <f>IF(AND($N$34=1,$Q$34&gt;=480),1,0)</f>
        <v>0</v>
      </c>
      <c r="P46" s="36">
        <f>IF(AND($N$34=1,$Q$34&gt;=480,$Q$34&lt;840),1,0)</f>
        <v>0</v>
      </c>
      <c r="Q46" s="35"/>
      <c r="R46" s="35" t="s">
        <v>73</v>
      </c>
      <c r="S46" s="35"/>
    </row>
    <row r="47" spans="1:22">
      <c r="A47" s="24"/>
      <c r="E47" s="11" t="s">
        <v>82</v>
      </c>
      <c r="F47" s="11"/>
      <c r="K47" s="52">
        <v>0</v>
      </c>
      <c r="M47" s="24"/>
      <c r="O47" s="36">
        <f>IF(AND($N$34&gt;1,$O$34&gt;=480),1,0)</f>
        <v>0</v>
      </c>
      <c r="P47" s="36">
        <f>IF(AND($N$34&gt;1,$O$34&gt;=480,$O$34&lt;840),1,0)</f>
        <v>0</v>
      </c>
      <c r="Q47" s="35" t="s">
        <v>75</v>
      </c>
      <c r="R47" s="35" t="s">
        <v>72</v>
      </c>
      <c r="S47" s="35"/>
    </row>
    <row r="48" spans="1:22">
      <c r="A48" s="24"/>
      <c r="E48" s="11" t="s">
        <v>83</v>
      </c>
      <c r="F48" s="11"/>
      <c r="I48" s="46">
        <v>0</v>
      </c>
      <c r="J48" s="11" t="s">
        <v>84</v>
      </c>
      <c r="K48" s="47">
        <f>I48*5</f>
        <v>0</v>
      </c>
      <c r="M48" s="24"/>
      <c r="O48" s="36">
        <f>IF(AND($N$34&gt;1,$Q$34&gt;=480),1,0)</f>
        <v>0</v>
      </c>
      <c r="P48" s="36">
        <f>IF(AND($N$34&gt;1,$Q$34&gt;=480,$Q$34&lt;840),1,0)</f>
        <v>0</v>
      </c>
      <c r="Q48" s="35"/>
      <c r="R48" s="35" t="s">
        <v>73</v>
      </c>
      <c r="S48" s="35"/>
    </row>
    <row r="49" spans="1:20">
      <c r="A49" s="24"/>
      <c r="E49" s="11" t="s">
        <v>85</v>
      </c>
      <c r="F49" s="11"/>
      <c r="I49" s="10">
        <v>5</v>
      </c>
      <c r="J49" s="10" t="s">
        <v>86</v>
      </c>
      <c r="K49" s="47">
        <f>IF(H4="Ausbildung",C31*I49,0)</f>
        <v>0</v>
      </c>
      <c r="M49" s="24"/>
    </row>
    <row r="50" spans="1:20" ht="15" thickBot="1">
      <c r="A50" s="24"/>
      <c r="E50" s="11" t="s">
        <v>104</v>
      </c>
      <c r="F50" s="11"/>
      <c r="H50" s="7"/>
      <c r="I50" s="7"/>
      <c r="K50" s="52">
        <v>0</v>
      </c>
      <c r="L50" s="4">
        <f>SUM(K44:K50)</f>
        <v>0</v>
      </c>
      <c r="M50" s="24"/>
    </row>
    <row r="51" spans="1:20">
      <c r="A51" s="24"/>
      <c r="E51" s="10" t="s">
        <v>105</v>
      </c>
      <c r="G51" s="28"/>
      <c r="H51" s="59"/>
      <c r="I51" s="7"/>
      <c r="K51" s="1"/>
      <c r="L51" s="1"/>
      <c r="M51" s="24"/>
      <c r="O51" s="36">
        <f>SUM(O45:O48)</f>
        <v>0</v>
      </c>
      <c r="P51" s="36">
        <f>SUM(P45:P48)</f>
        <v>0</v>
      </c>
    </row>
    <row r="52" spans="1:20" ht="15" thickBot="1">
      <c r="A52" s="24"/>
      <c r="B52" s="11" t="s">
        <v>76</v>
      </c>
      <c r="L52" s="4">
        <f>SUM(K31:K32,K34:K36,L41,K44:K50)</f>
        <v>34</v>
      </c>
      <c r="M52" s="24"/>
    </row>
    <row r="53" spans="1:20">
      <c r="A53" s="24"/>
      <c r="B53" s="10" t="s">
        <v>98</v>
      </c>
      <c r="M53" s="24"/>
    </row>
    <row r="54" spans="1:20">
      <c r="A54" s="24"/>
      <c r="M54" s="24"/>
    </row>
    <row r="55" spans="1:20">
      <c r="A55" s="24"/>
      <c r="B55" s="11" t="s">
        <v>87</v>
      </c>
      <c r="M55" s="24"/>
      <c r="T55" s="39" t="s">
        <v>88</v>
      </c>
    </row>
    <row r="56" spans="1:20">
      <c r="A56" s="24"/>
      <c r="C56" s="25" t="s">
        <v>89</v>
      </c>
      <c r="E56" s="10" t="s">
        <v>90</v>
      </c>
      <c r="G56" s="58"/>
      <c r="H56" s="58"/>
      <c r="I56" s="58"/>
      <c r="J56" s="58"/>
      <c r="M56" s="24"/>
      <c r="T56" s="10" t="s">
        <v>91</v>
      </c>
    </row>
    <row r="57" spans="1:20">
      <c r="A57" s="24"/>
      <c r="C57" s="25" t="s">
        <v>92</v>
      </c>
      <c r="G57" s="58"/>
      <c r="H57" s="58"/>
      <c r="I57" s="58"/>
      <c r="J57" s="58"/>
      <c r="M57" s="24"/>
      <c r="T57" s="10" t="s">
        <v>93</v>
      </c>
    </row>
    <row r="58" spans="1:20">
      <c r="A58" s="24"/>
      <c r="C58" s="25" t="s">
        <v>94</v>
      </c>
      <c r="G58" s="58"/>
      <c r="H58" s="58"/>
      <c r="I58" s="58"/>
      <c r="J58" s="58"/>
      <c r="M58" s="24"/>
    </row>
    <row r="59" spans="1:20">
      <c r="A59" s="33"/>
      <c r="B59" s="34"/>
      <c r="C59" s="14"/>
      <c r="D59" s="14"/>
      <c r="E59" s="14"/>
      <c r="F59" s="14"/>
      <c r="G59" s="14"/>
      <c r="H59" s="14"/>
      <c r="I59" s="14"/>
      <c r="J59" s="14"/>
      <c r="K59" s="53"/>
      <c r="L59" s="53" t="s">
        <v>103</v>
      </c>
      <c r="M59" s="24"/>
    </row>
    <row r="60" spans="1:20" s="56" customFormat="1">
      <c r="B60" s="56" t="s">
        <v>101</v>
      </c>
      <c r="J60" s="57"/>
    </row>
    <row r="65" spans="2:3">
      <c r="B65" s="21"/>
    </row>
    <row r="66" spans="2:3">
      <c r="B66" s="21"/>
    </row>
    <row r="67" spans="2:3">
      <c r="B67" s="21"/>
    </row>
    <row r="68" spans="2:3">
      <c r="B68" s="21"/>
    </row>
    <row r="69" spans="2:3">
      <c r="B69" s="21"/>
    </row>
    <row r="70" spans="2:3">
      <c r="B70" s="21"/>
    </row>
    <row r="71" spans="2:3">
      <c r="B71" s="21"/>
    </row>
    <row r="72" spans="2:3">
      <c r="B72" s="21"/>
    </row>
    <row r="73" spans="2:3">
      <c r="C73" s="48"/>
    </row>
  </sheetData>
  <sheetProtection algorithmName="SHA-512" hashValue="ZynbLK5IavXkPtmkjAf4huYiiGNkA7wFcLXLjqZrHpkWebXufcnifWrknvyGyl+OLIcxB8G+wgQzkrieagCx+A==" saltValue="JREysLkVyu7hlH1TUAMovw==" spinCount="100000" sheet="1" selectLockedCells="1"/>
  <mergeCells count="3">
    <mergeCell ref="G56:J56"/>
    <mergeCell ref="G57:J57"/>
    <mergeCell ref="G58:J58"/>
  </mergeCells>
  <dataValidations count="10">
    <dataValidation type="list" showErrorMessage="1" sqref="B4 D4" xr:uid="{00000000-0002-0000-0000-000000000000}">
      <formula1>"Tour,Kurs"</formula1>
      <formula2>0</formula2>
    </dataValidation>
    <dataValidation type="decimal" allowBlank="1" showInputMessage="1" showErrorMessage="1" error="Nur Zahlenwerte bis 100€" sqref="K44:K47" xr:uid="{00000000-0002-0000-0000-000003000000}">
      <formula1>0</formula1>
      <formula2>100</formula2>
    </dataValidation>
    <dataValidation type="decimal" allowBlank="1" showInputMessage="1" showErrorMessage="1" error="Nur Zahlenwerte eingeben" sqref="K50" xr:uid="{00000000-0002-0000-0000-000004000000}">
      <formula1>0</formula1>
      <formula2>1000</formula2>
    </dataValidation>
    <dataValidation type="whole" allowBlank="1" showInputMessage="1" showErrorMessage="1" error="Nur Zahlenwerte" sqref="C40" xr:uid="{00000000-0002-0000-0000-000005000000}">
      <formula1>0</formula1>
      <formula2>10000</formula2>
    </dataValidation>
    <dataValidation allowBlank="1" showInputMessage="1" showErrorMessage="1" error="Datum ausserhalb des Gültigkeitsbereichs" sqref="G22:H29 H9:H13" xr:uid="{00000000-0002-0000-0000-000006000000}"/>
    <dataValidation type="time" allowBlank="1" showInputMessage="1" showErrorMessage="1" error="Uhrzeit mit falschem Format eingegeben" sqref="K9:K13 K23:K29" xr:uid="{00000000-0002-0000-0000-000007000000}">
      <formula1>0</formula1>
      <formula2>0.999305555555556</formula2>
    </dataValidation>
    <dataValidation type="whole" allowBlank="1" showInputMessage="1" showErrorMessage="1" error="Nur Ganze Zahlen eingeben" sqref="I48" xr:uid="{00000000-0002-0000-0000-000008000000}">
      <formula1>0</formula1>
      <formula2>100</formula2>
    </dataValidation>
    <dataValidation type="list" allowBlank="1" showInputMessage="1" showErrorMessage="1" sqref="AC7" xr:uid="{71DEA2DF-5A61-4C81-90B8-FBA1146AC722}">
      <formula1>"ja,nein"</formula1>
    </dataValidation>
    <dataValidation type="list" allowBlank="1" showErrorMessage="1" sqref="H4" xr:uid="{00000000-0002-0000-0000-000001000000}">
      <formula1>"Abendkurs,Wandern,Skitour,Skihochtour,Hochtour,Hallenkletterkurs,Mountainbike,Bergsteigen,Klettersteig,Schneeschuh,Klettern,2ter Begleiter,Ausbildung,#auswählen#"</formula1>
    </dataValidation>
    <dataValidation type="list" operator="equal" sqref="H7" xr:uid="{00000000-0002-0000-0000-000002000000}">
      <formula1>"D,A,I,CH,F,SLO,N,Sonstiges,#auswählen#"</formula1>
    </dataValidation>
  </dataValidations>
  <printOptions horizontalCentered="1"/>
  <pageMargins left="0.27569444444444446" right="0.31527777777777777" top="0.31527777777777777" bottom="0.59027777777777779" header="0.51180555555555551" footer="0.51180555555555551"/>
  <pageSetup paperSize="9" scale="86" firstPageNumber="0" orientation="portrait" r:id="rId1"/>
  <headerFooter alignWithMargins="0"/>
  <rowBreaks count="1" manualBreakCount="1">
    <brk id="61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B236024FF52A47BB97DE467CF5A60C" ma:contentTypeVersion="4" ma:contentTypeDescription="Ein neues Dokument erstellen." ma:contentTypeScope="" ma:versionID="00bc54d9ed61f48a12e359b9d120c408">
  <xsd:schema xmlns:xsd="http://www.w3.org/2001/XMLSchema" xmlns:xs="http://www.w3.org/2001/XMLSchema" xmlns:p="http://schemas.microsoft.com/office/2006/metadata/properties" xmlns:ns2="3071c7c7-3015-41fe-8f98-2f2d219e94dc" xmlns:ns3="0f37e22b-3a1d-4146-9da9-fa531dfb1609" targetNamespace="http://schemas.microsoft.com/office/2006/metadata/properties" ma:root="true" ma:fieldsID="123c453d4cb23fabbb856314b32be228" ns2:_="" ns3:_="">
    <xsd:import namespace="3071c7c7-3015-41fe-8f98-2f2d219e94dc"/>
    <xsd:import namespace="0f37e22b-3a1d-4146-9da9-fa531dfb16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71c7c7-3015-41fe-8f98-2f2d219e9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7e22b-3a1d-4146-9da9-fa531dfb16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6082B3-B001-4D35-88FA-CEEBE2409F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653DEF-1FF1-46F7-B302-9CD0C8BB25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71c7c7-3015-41fe-8f98-2f2d219e94dc"/>
    <ds:schemaRef ds:uri="0f37e22b-3a1d-4146-9da9-fa531dfb16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6745FE-BAC0-4195-A3DE-DBE9449315AE}">
  <ds:schemaRefs>
    <ds:schemaRef ds:uri="http://purl.org/dc/elements/1.1/"/>
    <ds:schemaRef ds:uri="http://schemas.microsoft.com/office/2006/metadata/properties"/>
    <ds:schemaRef ds:uri="http://purl.org/dc/dcmitype/"/>
    <ds:schemaRef ds:uri="5dc67ec5-9933-4f53-8a8d-7b0f86b94e17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Tourenabrechnung</vt:lpstr>
      <vt:lpstr>Tourenabrechnung!Druckbereich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</dc:creator>
  <cp:keywords/>
  <dc:description/>
  <cp:lastModifiedBy>Christoph Schnurr (DAV Sektion Rosenheim)</cp:lastModifiedBy>
  <cp:revision/>
  <cp:lastPrinted>2023-05-24T10:07:29Z</cp:lastPrinted>
  <dcterms:created xsi:type="dcterms:W3CDTF">2013-01-05T12:47:46Z</dcterms:created>
  <dcterms:modified xsi:type="dcterms:W3CDTF">2023-09-14T13:55:38Z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0x010100D2B236024FF52A47BB97DE467CF5A60C</vt:lpwstr>
  </property>
  <property fmtid="{D5CDD505-2E9C-101B-9397-08002B2CF9AE}" pid="3" name="MediaServiceImageTags">
    <vt:lpwstr/>
  </property>
</Properties>
</file>